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User\Desktop\Resolve general\"/>
    </mc:Choice>
  </mc:AlternateContent>
  <xr:revisionPtr revIDLastSave="0" documentId="8_{BA224D5B-41C5-42AD-B94D-111DAD300C10}" xr6:coauthVersionLast="45" xr6:coauthVersionMax="45" xr10:uidLastSave="{00000000-0000-0000-0000-000000000000}"/>
  <workbookProtection workbookAlgorithmName="SHA-512" workbookHashValue="BkVI8HZ35wrNy6TjocNYzrAuPRveHlaqpYzIKk6Iy0XFCF/gLJYbv4zNQptsm4Dl0nAGnK5/jAZvbS/6De+G9A==" workbookSaltValue="L876RpBEMgus2f+cBCFRcg==" workbookSpinCount="100000" lockStructure="1"/>
  <bookViews>
    <workbookView xWindow="-108" yWindow="-108" windowWidth="23256" windowHeight="12576" xr2:uid="{9DCD570E-ED2A-43B1-B8F2-ACC300620CDB}"/>
  </bookViews>
  <sheets>
    <sheet name="Rent" sheetId="3" r:id="rId1"/>
    <sheet name="Periods" sheetId="4" state="hidden" r:id="rId2"/>
  </sheets>
  <definedNames>
    <definedName name="_xlnm.Print_Area" localSheetId="0">Rent!$A$1:$J$33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5" i="3" l="1"/>
  <c r="Q9" i="3" l="1"/>
  <c r="F24" i="3" l="1"/>
  <c r="F23" i="3" l="1"/>
  <c r="G7" i="3"/>
  <c r="F7" i="3"/>
  <c r="M8" i="3" s="1"/>
  <c r="M15" i="3" s="1"/>
  <c r="M4" i="4"/>
  <c r="M5" i="4"/>
  <c r="M6" i="4"/>
  <c r="M7" i="4"/>
  <c r="M8" i="4"/>
  <c r="M9" i="4"/>
  <c r="M10" i="4"/>
  <c r="M11" i="4"/>
  <c r="M3" i="4"/>
  <c r="J4" i="4"/>
  <c r="J5" i="4"/>
  <c r="J6" i="4"/>
  <c r="J7" i="4"/>
  <c r="J8" i="4"/>
  <c r="J9" i="4"/>
  <c r="J10" i="4"/>
  <c r="J11" i="4"/>
  <c r="J3" i="4"/>
  <c r="E3" i="4"/>
  <c r="G3" i="4"/>
  <c r="H3" i="4"/>
  <c r="K3" i="4"/>
  <c r="C4" i="4"/>
  <c r="E4" i="4" s="1"/>
  <c r="G4" i="4"/>
  <c r="K4" i="4"/>
  <c r="C5" i="4"/>
  <c r="E5" i="4" s="1"/>
  <c r="G5" i="4"/>
  <c r="K5" i="4" s="1"/>
  <c r="C6" i="4"/>
  <c r="H6" i="4" s="1"/>
  <c r="G6" i="4"/>
  <c r="K6" i="4" s="1"/>
  <c r="C7" i="4"/>
  <c r="E7" i="4" s="1"/>
  <c r="G7" i="4"/>
  <c r="K7" i="4" s="1"/>
  <c r="C8" i="4"/>
  <c r="E8" i="4" s="1"/>
  <c r="G8" i="4"/>
  <c r="K8" i="4" s="1"/>
  <c r="C9" i="4"/>
  <c r="H9" i="4" s="1"/>
  <c r="E9" i="4"/>
  <c r="G9" i="4"/>
  <c r="K9" i="4" s="1"/>
  <c r="C10" i="4"/>
  <c r="H10" i="4" s="1"/>
  <c r="E10" i="4"/>
  <c r="G10" i="4"/>
  <c r="K10" i="4" s="1"/>
  <c r="C11" i="4"/>
  <c r="E11" i="4" s="1"/>
  <c r="G11" i="4"/>
  <c r="K11" i="4"/>
  <c r="B24" i="3" l="1"/>
  <c r="M9" i="3"/>
  <c r="M14" i="3" s="1"/>
  <c r="B23" i="3"/>
  <c r="H5" i="4"/>
  <c r="H8" i="4"/>
  <c r="H4" i="4"/>
  <c r="E6" i="4"/>
  <c r="H11" i="4"/>
  <c r="H7" i="4"/>
  <c r="N15" i="3"/>
  <c r="N14" i="3"/>
  <c r="N9" i="3"/>
  <c r="N8" i="3"/>
  <c r="P8" i="3" l="1"/>
  <c r="O8" i="3"/>
  <c r="O10" i="3" s="1"/>
  <c r="Q8" i="3"/>
  <c r="Q10" i="3" s="1"/>
  <c r="O9" i="3" l="1"/>
  <c r="F17" i="3" s="1"/>
  <c r="P9" i="3"/>
  <c r="P10" i="3"/>
  <c r="E17" i="3" s="1"/>
  <c r="E16" i="3" s="1"/>
  <c r="G17" i="3" l="1"/>
  <c r="G18" i="3" s="1"/>
  <c r="F16" i="3"/>
  <c r="G19" i="3" l="1"/>
  <c r="G23" i="3" s="1"/>
  <c r="G24" i="3" s="1"/>
  <c r="H24" i="3" s="1"/>
  <c r="H23" i="3" l="1"/>
  <c r="H25" i="3" s="1"/>
</calcChain>
</file>

<file path=xl/sharedStrings.xml><?xml version="1.0" encoding="utf-8"?>
<sst xmlns="http://schemas.openxmlformats.org/spreadsheetml/2006/main" count="78" uniqueCount="63">
  <si>
    <t>Revenue</t>
  </si>
  <si>
    <t>% drop</t>
  </si>
  <si>
    <t>Base subsidy rate</t>
  </si>
  <si>
    <t>January</t>
  </si>
  <si>
    <t>February</t>
  </si>
  <si>
    <t>na</t>
  </si>
  <si>
    <t>Optimal subsidy calculations:</t>
  </si>
  <si>
    <t xml:space="preserve"> Enter monthly revenue totals in coloured cells</t>
  </si>
  <si>
    <t>Revenue Drop Comparisons:</t>
  </si>
  <si>
    <t>option 1) corresponding month comparison</t>
  </si>
  <si>
    <t>3 month average drop</t>
  </si>
  <si>
    <t>option 2) January to February 2020</t>
  </si>
  <si>
    <t>Insurance</t>
  </si>
  <si>
    <t>Subsidy</t>
  </si>
  <si>
    <t>Rate</t>
  </si>
  <si>
    <t>September 27, 2020 to October 24, 2020</t>
  </si>
  <si>
    <t>October 25, 2020 to November 21, 2020</t>
  </si>
  <si>
    <t>November 22, 2020 to December 19, 2020</t>
  </si>
  <si>
    <t>December 20, 2020 to January 16, 2021</t>
  </si>
  <si>
    <t>January 17, 2021 to February 13, 2021</t>
  </si>
  <si>
    <t>February 14, 2021 to March 13, 2021</t>
  </si>
  <si>
    <t xml:space="preserve"> CERS Claim Periods</t>
  </si>
  <si>
    <t>Subsidy period:</t>
  </si>
  <si>
    <t>Current Year</t>
  </si>
  <si>
    <t>Prior year</t>
  </si>
  <si>
    <t>P9</t>
  </si>
  <si>
    <t>P8</t>
  </si>
  <si>
    <t>P7</t>
  </si>
  <si>
    <t>P6</t>
  </si>
  <si>
    <t>P5</t>
  </si>
  <si>
    <t>P4</t>
  </si>
  <si>
    <t>P3</t>
  </si>
  <si>
    <t>P2</t>
  </si>
  <si>
    <t>P1</t>
  </si>
  <si>
    <t>Month 2</t>
  </si>
  <si>
    <t>Month 1</t>
  </si>
  <si>
    <t>Days</t>
  </si>
  <si>
    <t>To</t>
  </si>
  <si>
    <t>From</t>
  </si>
  <si>
    <t>Beginning</t>
  </si>
  <si>
    <t>End</t>
  </si>
  <si>
    <t>Days in</t>
  </si>
  <si>
    <t>Total days</t>
  </si>
  <si>
    <t>%</t>
  </si>
  <si>
    <t>Period cost</t>
  </si>
  <si>
    <t>Rent / interest</t>
  </si>
  <si>
    <r>
      <t xml:space="preserve">Enter </t>
    </r>
    <r>
      <rPr>
        <b/>
        <u/>
        <sz val="11"/>
        <color theme="1"/>
        <rFont val="Calibri"/>
        <family val="2"/>
        <scheme val="minor"/>
      </rPr>
      <t>monthly</t>
    </r>
    <r>
      <rPr>
        <b/>
        <sz val="11"/>
        <color theme="1"/>
        <rFont val="Calibri"/>
        <family val="2"/>
        <scheme val="minor"/>
      </rPr>
      <t xml:space="preserve"> expenses in coloured cells</t>
    </r>
  </si>
  <si>
    <t>Elect to use Jan Feb Method?</t>
  </si>
  <si>
    <t>Yes</t>
  </si>
  <si>
    <t>No</t>
  </si>
  <si>
    <t>First claim</t>
  </si>
  <si>
    <t>Multiplier</t>
  </si>
  <si>
    <t>MAX overall</t>
  </si>
  <si>
    <t>Max vs PY</t>
  </si>
  <si>
    <t>Max AVG</t>
  </si>
  <si>
    <t>Priors</t>
  </si>
  <si>
    <t>Current</t>
  </si>
  <si>
    <t>April 11, 2021 to May 8, 2021</t>
  </si>
  <si>
    <t>May 9, 2021 to June 5, 2021</t>
  </si>
  <si>
    <t>March 14, 2021 to April 10, 2021</t>
  </si>
  <si>
    <t>The Resolve CERS Subsidy Calculator is inteded for estimation purposes only.  Resolve Business Advisors Inc. in no way guarantees the accuracy of these figures.  Also, while we do strive to stay on top of changing legislation, we cannot guarantee that the calculations used in the Resolve CERS Subsidy Calculator have been updated to include such changes.  Differences may be material.</t>
  </si>
  <si>
    <t>Property tax</t>
  </si>
  <si>
    <t>The                              CERS Subsidy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</si>
</sst>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 #,##0_-;\-* #,##0_-;_-* &quot;-&quot;??_-;_-@_-"/>
    <numFmt numFmtId="165" formatCode="0.0%"/>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b/>
      <sz val="14"/>
      <color theme="1"/>
      <name val="Calibri"/>
      <family val="2"/>
      <scheme val="minor"/>
    </font>
    <font>
      <sz val="8"/>
      <name val="Calibri"/>
      <family val="2"/>
      <scheme val="minor"/>
    </font>
    <font>
      <b/>
      <u/>
      <sz val="11"/>
      <color theme="1"/>
      <name val="Calibri"/>
      <family val="2"/>
      <scheme val="minor"/>
    </font>
    <font>
      <sz val="11"/>
      <color theme="1"/>
      <name val="Calibri Light"/>
      <family val="2"/>
      <scheme val="major"/>
    </font>
  </fonts>
  <fills count="11">
    <fill>
      <patternFill patternType="none"/>
    </fill>
    <fill>
      <patternFill patternType="gray125"/>
    </fill>
    <fill>
      <patternFill patternType="solid">
        <fgColor theme="8" tint="0.59999389629810485"/>
        <bgColor rgb="FF000000"/>
      </patternFill>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59996337778862885"/>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theme="8" tint="-0.499984740745262"/>
        <bgColor indexed="64"/>
      </patternFill>
    </fill>
  </fills>
  <borders count="21">
    <border>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right/>
      <top style="thin">
        <color indexed="64"/>
      </top>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91">
    <xf numFmtId="0" fontId="0" fillId="0" borderId="0" xfId="0"/>
    <xf numFmtId="0" fontId="0" fillId="0" borderId="4" xfId="0" applyBorder="1"/>
    <xf numFmtId="0" fontId="0" fillId="0" borderId="5" xfId="0" applyBorder="1"/>
    <xf numFmtId="0" fontId="2" fillId="0" borderId="0" xfId="0" applyFont="1"/>
    <xf numFmtId="43" fontId="0" fillId="0" borderId="0" xfId="2" applyFont="1"/>
    <xf numFmtId="0" fontId="0" fillId="0" borderId="0" xfId="0" applyFill="1" applyBorder="1" applyAlignment="1">
      <alignment horizontal="center"/>
    </xf>
    <xf numFmtId="43" fontId="0" fillId="0" borderId="0" xfId="0" applyNumberFormat="1"/>
    <xf numFmtId="0" fontId="0" fillId="0" borderId="8" xfId="0" applyBorder="1"/>
    <xf numFmtId="0" fontId="2" fillId="3" borderId="9" xfId="0" applyFont="1" applyFill="1" applyBorder="1"/>
    <xf numFmtId="0" fontId="2" fillId="3" borderId="10" xfId="0" applyFont="1" applyFill="1" applyBorder="1"/>
    <xf numFmtId="0" fontId="2" fillId="3" borderId="11" xfId="0" applyFont="1" applyFill="1" applyBorder="1"/>
    <xf numFmtId="3" fontId="0" fillId="0" borderId="0" xfId="0" applyNumberFormat="1"/>
    <xf numFmtId="44" fontId="0" fillId="0" borderId="1" xfId="3" applyFont="1" applyBorder="1"/>
    <xf numFmtId="9" fontId="0" fillId="0" borderId="1" xfId="0" applyNumberFormat="1" applyBorder="1"/>
    <xf numFmtId="0" fontId="2" fillId="0" borderId="2" xfId="0" applyFont="1" applyBorder="1"/>
    <xf numFmtId="0" fontId="0" fillId="0" borderId="4" xfId="0" applyBorder="1" applyAlignment="1">
      <alignment horizontal="left"/>
    </xf>
    <xf numFmtId="10" fontId="0" fillId="0" borderId="5" xfId="1" applyNumberFormat="1" applyFont="1" applyBorder="1"/>
    <xf numFmtId="0" fontId="0" fillId="0" borderId="4" xfId="0" applyBorder="1" applyAlignment="1">
      <alignment horizontal="left" vertical="center"/>
    </xf>
    <xf numFmtId="0" fontId="0" fillId="0" borderId="6" xfId="0" applyBorder="1"/>
    <xf numFmtId="10" fontId="0" fillId="0" borderId="7" xfId="0" applyNumberFormat="1" applyBorder="1"/>
    <xf numFmtId="10" fontId="0" fillId="0" borderId="0" xfId="0" applyNumberFormat="1"/>
    <xf numFmtId="10" fontId="0" fillId="0" borderId="3" xfId="0" applyNumberFormat="1" applyBorder="1"/>
    <xf numFmtId="17" fontId="0" fillId="0" borderId="4" xfId="0" applyNumberFormat="1" applyBorder="1"/>
    <xf numFmtId="165" fontId="0" fillId="0" borderId="7" xfId="1" applyNumberFormat="1" applyFont="1" applyBorder="1"/>
    <xf numFmtId="0" fontId="2" fillId="0" borderId="0" xfId="0" applyFont="1" applyBorder="1" applyAlignment="1">
      <alignment horizontal="center"/>
    </xf>
    <xf numFmtId="3" fontId="3" fillId="0" borderId="0" xfId="0" applyNumberFormat="1" applyFont="1" applyFill="1" applyBorder="1"/>
    <xf numFmtId="0" fontId="0" fillId="0" borderId="4" xfId="0" applyBorder="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0" fillId="0" borderId="5" xfId="0" applyBorder="1" applyProtection="1"/>
    <xf numFmtId="0" fontId="0" fillId="0" borderId="0" xfId="0" applyBorder="1" applyProtection="1"/>
    <xf numFmtId="0" fontId="0" fillId="0" borderId="1" xfId="0" applyBorder="1" applyAlignment="1" applyProtection="1">
      <alignment horizontal="center"/>
    </xf>
    <xf numFmtId="0" fontId="2" fillId="0" borderId="6" xfId="0" applyFont="1" applyBorder="1" applyProtection="1"/>
    <xf numFmtId="0" fontId="0" fillId="0" borderId="1" xfId="0" applyBorder="1" applyProtection="1"/>
    <xf numFmtId="0" fontId="0" fillId="0" borderId="7" xfId="0" applyBorder="1" applyProtection="1"/>
    <xf numFmtId="43" fontId="0" fillId="6" borderId="1" xfId="2" applyFont="1" applyFill="1" applyBorder="1" applyProtection="1">
      <protection locked="0"/>
    </xf>
    <xf numFmtId="14" fontId="0" fillId="0" borderId="0" xfId="0" applyNumberFormat="1"/>
    <xf numFmtId="0" fontId="2" fillId="0" borderId="4" xfId="0" applyFont="1" applyBorder="1"/>
    <xf numFmtId="15" fontId="0" fillId="0" borderId="0" xfId="0" applyNumberFormat="1"/>
    <xf numFmtId="10" fontId="0" fillId="0" borderId="0" xfId="1" applyNumberFormat="1" applyFont="1"/>
    <xf numFmtId="43" fontId="0" fillId="6" borderId="6" xfId="2" applyFont="1" applyFill="1" applyBorder="1" applyProtection="1">
      <protection locked="0"/>
    </xf>
    <xf numFmtId="43" fontId="0" fillId="6" borderId="4" xfId="2" applyFont="1" applyFill="1" applyBorder="1" applyProtection="1">
      <protection locked="0"/>
    </xf>
    <xf numFmtId="43" fontId="0" fillId="6" borderId="0" xfId="2" applyFont="1" applyFill="1" applyBorder="1" applyProtection="1">
      <protection locked="0"/>
    </xf>
    <xf numFmtId="44" fontId="0" fillId="0" borderId="0" xfId="3" applyFont="1" applyBorder="1"/>
    <xf numFmtId="9" fontId="0" fillId="0" borderId="0" xfId="0" applyNumberFormat="1" applyBorder="1"/>
    <xf numFmtId="0" fontId="2" fillId="8" borderId="12" xfId="0" applyFont="1" applyFill="1" applyBorder="1" applyAlignment="1">
      <alignment horizontal="center"/>
    </xf>
    <xf numFmtId="0" fontId="2" fillId="8" borderId="17" xfId="0" applyFont="1" applyFill="1" applyBorder="1" applyAlignment="1">
      <alignment horizontal="center"/>
    </xf>
    <xf numFmtId="0" fontId="2" fillId="8" borderId="16" xfId="0" applyFont="1" applyFill="1" applyBorder="1" applyAlignment="1">
      <alignment horizontal="center"/>
    </xf>
    <xf numFmtId="44" fontId="1" fillId="0" borderId="18" xfId="3" applyFont="1" applyBorder="1" applyAlignment="1">
      <alignment horizontal="center"/>
    </xf>
    <xf numFmtId="44" fontId="0" fillId="0" borderId="18" xfId="0" applyNumberFormat="1" applyBorder="1"/>
    <xf numFmtId="0" fontId="0" fillId="0" borderId="0" xfId="0" applyFill="1"/>
    <xf numFmtId="43" fontId="0" fillId="0" borderId="0" xfId="0" applyNumberFormat="1" applyFill="1"/>
    <xf numFmtId="0" fontId="2" fillId="0" borderId="0" xfId="0" applyFont="1" applyAlignment="1">
      <alignment vertical="center"/>
    </xf>
    <xf numFmtId="0" fontId="0" fillId="3" borderId="8" xfId="0" applyFill="1" applyBorder="1" applyProtection="1">
      <protection locked="0"/>
    </xf>
    <xf numFmtId="10" fontId="0" fillId="0" borderId="4" xfId="2" applyNumberFormat="1" applyFont="1" applyBorder="1"/>
    <xf numFmtId="10" fontId="0" fillId="0" borderId="0" xfId="0" applyNumberFormat="1" applyBorder="1"/>
    <xf numFmtId="164" fontId="0" fillId="0" borderId="4" xfId="2" applyNumberFormat="1" applyFont="1" applyBorder="1"/>
    <xf numFmtId="164" fontId="0" fillId="0" borderId="0" xfId="2" applyNumberFormat="1" applyFont="1" applyBorder="1"/>
    <xf numFmtId="164" fontId="0" fillId="0" borderId="6" xfId="2" applyNumberFormat="1" applyFont="1" applyBorder="1"/>
    <xf numFmtId="164" fontId="0" fillId="0" borderId="1" xfId="2" applyNumberFormat="1" applyFont="1" applyBorder="1"/>
    <xf numFmtId="0" fontId="0" fillId="0" borderId="7" xfId="0" applyBorder="1"/>
    <xf numFmtId="43" fontId="0" fillId="0" borderId="4" xfId="2" applyFont="1" applyBorder="1"/>
    <xf numFmtId="0" fontId="0" fillId="0" borderId="0" xfId="0" applyBorder="1"/>
    <xf numFmtId="43" fontId="0" fillId="9" borderId="12" xfId="2" applyFont="1" applyFill="1" applyBorder="1"/>
    <xf numFmtId="0" fontId="0" fillId="9" borderId="17" xfId="0" applyFill="1" applyBorder="1"/>
    <xf numFmtId="0" fontId="0" fillId="9" borderId="13" xfId="0" applyFill="1" applyBorder="1"/>
    <xf numFmtId="0" fontId="7" fillId="0" borderId="0" xfId="0" applyFont="1" applyAlignment="1">
      <alignment vertical="top" wrapText="1"/>
    </xf>
    <xf numFmtId="0" fontId="0" fillId="10" borderId="0" xfId="0" applyFill="1"/>
    <xf numFmtId="43" fontId="0" fillId="10" borderId="0" xfId="0" applyNumberFormat="1" applyFill="1"/>
    <xf numFmtId="44" fontId="4" fillId="8" borderId="16" xfId="0" applyNumberFormat="1" applyFont="1" applyFill="1" applyBorder="1"/>
    <xf numFmtId="0" fontId="0" fillId="0" borderId="9" xfId="0" applyBorder="1"/>
    <xf numFmtId="0" fontId="2" fillId="0" borderId="19" xfId="0" applyFont="1" applyBorder="1" applyAlignment="1">
      <alignment horizontal="center"/>
    </xf>
    <xf numFmtId="0" fontId="3" fillId="0" borderId="2" xfId="0" applyFont="1" applyBorder="1"/>
    <xf numFmtId="0" fontId="3" fillId="0" borderId="20" xfId="0" applyFont="1" applyBorder="1"/>
    <xf numFmtId="3" fontId="3" fillId="2" borderId="20" xfId="0" applyNumberFormat="1" applyFont="1" applyFill="1" applyBorder="1" applyProtection="1">
      <protection locked="0"/>
    </xf>
    <xf numFmtId="3" fontId="3" fillId="2" borderId="3" xfId="0" applyNumberFormat="1" applyFont="1" applyFill="1" applyBorder="1" applyProtection="1">
      <protection locked="0"/>
    </xf>
    <xf numFmtId="3" fontId="3" fillId="2" borderId="6" xfId="0" applyNumberFormat="1" applyFont="1" applyFill="1" applyBorder="1" applyProtection="1">
      <protection locked="0"/>
    </xf>
    <xf numFmtId="3" fontId="3" fillId="2" borderId="1" xfId="0" applyNumberFormat="1" applyFont="1" applyFill="1" applyBorder="1" applyProtection="1">
      <protection locked="0"/>
    </xf>
    <xf numFmtId="3" fontId="3" fillId="2" borderId="7" xfId="0" applyNumberFormat="1" applyFont="1" applyFill="1" applyBorder="1" applyProtection="1">
      <protection locked="0"/>
    </xf>
    <xf numFmtId="164" fontId="0" fillId="0" borderId="0" xfId="2" applyNumberFormat="1" applyFont="1" applyAlignment="1" applyProtection="1">
      <alignment horizontal="center"/>
    </xf>
    <xf numFmtId="9" fontId="0" fillId="0" borderId="0" xfId="1" applyFont="1" applyBorder="1" applyAlignment="1" applyProtection="1">
      <alignment horizontal="center"/>
    </xf>
    <xf numFmtId="9" fontId="2" fillId="0" borderId="1" xfId="1" applyFont="1" applyBorder="1" applyAlignment="1" applyProtection="1">
      <alignment horizontal="center"/>
    </xf>
    <xf numFmtId="0" fontId="7" fillId="0" borderId="0" xfId="0" applyFont="1" applyAlignment="1">
      <alignment horizontal="left" wrapText="1"/>
    </xf>
    <xf numFmtId="0" fontId="4" fillId="4" borderId="0" xfId="0" applyFont="1" applyFill="1" applyBorder="1" applyAlignment="1">
      <alignment horizontal="center"/>
    </xf>
    <xf numFmtId="0" fontId="2" fillId="5" borderId="12" xfId="0" applyFont="1" applyFill="1" applyBorder="1" applyAlignment="1">
      <alignment horizontal="center"/>
    </xf>
    <xf numFmtId="0" fontId="2" fillId="5" borderId="13" xfId="0" applyFont="1" applyFill="1" applyBorder="1" applyAlignment="1">
      <alignment horizontal="center"/>
    </xf>
    <xf numFmtId="0" fontId="0" fillId="7" borderId="9" xfId="0" applyFill="1" applyBorder="1" applyAlignment="1" applyProtection="1">
      <alignment horizontal="center"/>
      <protection locked="0"/>
    </xf>
    <xf numFmtId="0" fontId="0" fillId="7" borderId="10" xfId="0" applyFill="1" applyBorder="1" applyAlignment="1" applyProtection="1">
      <alignment horizontal="center"/>
      <protection locked="0"/>
    </xf>
    <xf numFmtId="0" fontId="0" fillId="7" borderId="11" xfId="0" applyFill="1" applyBorder="1" applyAlignment="1" applyProtection="1">
      <alignment horizontal="center"/>
      <protection locked="0"/>
    </xf>
    <xf numFmtId="0" fontId="2" fillId="5" borderId="14" xfId="0" applyFont="1" applyFill="1" applyBorder="1" applyAlignment="1">
      <alignment horizontal="center"/>
    </xf>
    <xf numFmtId="0" fontId="2" fillId="5" borderId="15" xfId="0" applyFont="1" applyFill="1" applyBorder="1" applyAlignment="1">
      <alignment horizontal="center"/>
    </xf>
  </cellXfs>
  <cellStyles count="4">
    <cellStyle name="Comma" xfId="2" builtinId="3"/>
    <cellStyle name="Currency" xfId="3" builtinId="4"/>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1314451</xdr:colOff>
      <xdr:row>28</xdr:row>
      <xdr:rowOff>141041</xdr:rowOff>
    </xdr:from>
    <xdr:to>
      <xdr:col>8</xdr:col>
      <xdr:colOff>514350</xdr:colOff>
      <xdr:row>31</xdr:row>
      <xdr:rowOff>114835</xdr:rowOff>
    </xdr:to>
    <xdr:pic>
      <xdr:nvPicPr>
        <xdr:cNvPr id="5" name="Picture 4">
          <a:extLst>
            <a:ext uri="{FF2B5EF4-FFF2-40B4-BE49-F238E27FC236}">
              <a16:creationId xmlns:a16="http://schemas.microsoft.com/office/drawing/2014/main" id="{43088E2E-8A37-4ED2-AC6F-28A1A843CE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81851" y="5808416"/>
          <a:ext cx="1609724" cy="545294"/>
        </a:xfrm>
        <a:prstGeom prst="rect">
          <a:avLst/>
        </a:prstGeom>
      </xdr:spPr>
    </xdr:pic>
    <xdr:clientData/>
  </xdr:twoCellAnchor>
  <xdr:twoCellAnchor editAs="oneCell">
    <xdr:from>
      <xdr:col>4</xdr:col>
      <xdr:colOff>427678</xdr:colOff>
      <xdr:row>1</xdr:row>
      <xdr:rowOff>171451</xdr:rowOff>
    </xdr:from>
    <xdr:to>
      <xdr:col>5</xdr:col>
      <xdr:colOff>57150</xdr:colOff>
      <xdr:row>1</xdr:row>
      <xdr:rowOff>404409</xdr:rowOff>
    </xdr:to>
    <xdr:pic>
      <xdr:nvPicPr>
        <xdr:cNvPr id="7" name="Picture 6">
          <a:extLst>
            <a:ext uri="{FF2B5EF4-FFF2-40B4-BE49-F238E27FC236}">
              <a16:creationId xmlns:a16="http://schemas.microsoft.com/office/drawing/2014/main" id="{929D6D9F-271B-40C6-8715-84F60A9E9DAC}"/>
            </a:ext>
          </a:extLst>
        </xdr:cNvPr>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sharpenSoften amount="50000"/>
                  </a14:imgEffect>
                </a14:imgLayer>
              </a14:imgProps>
            </a:ext>
            <a:ext uri="{28A0092B-C50C-407E-A947-70E740481C1C}">
              <a14:useLocalDpi xmlns:a14="http://schemas.microsoft.com/office/drawing/2010/main" val="0"/>
            </a:ext>
          </a:extLst>
        </a:blip>
        <a:stretch>
          <a:fillRect/>
        </a:stretch>
      </xdr:blipFill>
      <xdr:spPr>
        <a:xfrm>
          <a:off x="3313753" y="342901"/>
          <a:ext cx="1029647" cy="23295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02ADF-D66E-4089-89C9-C0A6247E9B34}">
  <sheetPr>
    <pageSetUpPr fitToPage="1"/>
  </sheetPr>
  <dimension ref="A1:R33"/>
  <sheetViews>
    <sheetView showGridLines="0" showRowColHeaders="0" tabSelected="1" showRuler="0" zoomScaleNormal="100" zoomScalePageLayoutView="85" workbookViewId="0">
      <selection activeCell="D11" sqref="D11"/>
    </sheetView>
  </sheetViews>
  <sheetFormatPr defaultRowHeight="14.4" x14ac:dyDescent="0.3"/>
  <cols>
    <col min="1" max="1" width="4.109375" customWidth="1"/>
    <col min="2" max="2" width="12.5546875" customWidth="1"/>
    <col min="3" max="3" width="14" customWidth="1"/>
    <col min="4" max="4" width="12.5546875" customWidth="1"/>
    <col min="5" max="5" width="21" customWidth="1"/>
    <col min="6" max="6" width="23.6640625" customWidth="1"/>
    <col min="7" max="7" width="21.5546875" bestFit="1" customWidth="1"/>
    <col min="8" max="8" width="14.5546875" bestFit="1" customWidth="1"/>
    <col min="10" max="10" width="4.109375" customWidth="1"/>
    <col min="11" max="11" width="3.44140625" style="50" hidden="1" customWidth="1"/>
    <col min="12" max="12" width="13.6640625" hidden="1" customWidth="1"/>
    <col min="13" max="13" width="40.109375" hidden="1" customWidth="1"/>
    <col min="14" max="14" width="8.109375" hidden="1" customWidth="1"/>
    <col min="15" max="15" width="12.6640625" style="4" hidden="1" customWidth="1"/>
    <col min="16" max="17" width="11.109375" hidden="1" customWidth="1"/>
    <col min="18" max="18" width="8.6640625" hidden="1" customWidth="1"/>
  </cols>
  <sheetData>
    <row r="1" spans="1:18" ht="13.5" customHeight="1" x14ac:dyDescent="0.3">
      <c r="A1" s="67"/>
      <c r="B1" s="67"/>
      <c r="C1" s="67"/>
      <c r="D1" s="67"/>
      <c r="E1" s="67"/>
      <c r="F1" s="67"/>
      <c r="G1" s="67"/>
      <c r="H1" s="67"/>
      <c r="I1" s="67"/>
      <c r="J1" s="67"/>
    </row>
    <row r="2" spans="1:18" ht="32.25" customHeight="1" x14ac:dyDescent="0.35">
      <c r="A2" s="67"/>
      <c r="B2" s="83" t="s">
        <v>62</v>
      </c>
      <c r="C2" s="83"/>
      <c r="D2" s="83"/>
      <c r="E2" s="83"/>
      <c r="F2" s="83"/>
      <c r="G2" s="83"/>
      <c r="H2" s="83"/>
      <c r="I2" s="83"/>
      <c r="J2" s="67"/>
    </row>
    <row r="3" spans="1:18" x14ac:dyDescent="0.3">
      <c r="A3" s="67"/>
      <c r="J3" s="67"/>
    </row>
    <row r="4" spans="1:18" x14ac:dyDescent="0.3">
      <c r="A4" s="67"/>
      <c r="B4" s="3" t="s">
        <v>22</v>
      </c>
      <c r="D4" s="86" t="s">
        <v>16</v>
      </c>
      <c r="E4" s="87"/>
      <c r="F4" s="88"/>
      <c r="J4" s="67"/>
    </row>
    <row r="5" spans="1:18" ht="15" thickBot="1" x14ac:dyDescent="0.35">
      <c r="A5" s="67"/>
      <c r="H5" s="36"/>
      <c r="I5" s="36"/>
      <c r="J5" s="67"/>
    </row>
    <row r="6" spans="1:18" ht="15" thickBot="1" x14ac:dyDescent="0.35">
      <c r="A6" s="67"/>
      <c r="B6" s="52" t="s">
        <v>7</v>
      </c>
      <c r="J6" s="67"/>
      <c r="M6" s="84" t="s">
        <v>8</v>
      </c>
      <c r="N6" s="85"/>
      <c r="O6" s="63" t="s">
        <v>52</v>
      </c>
      <c r="P6" s="64" t="s">
        <v>53</v>
      </c>
      <c r="Q6" s="64" t="s">
        <v>54</v>
      </c>
      <c r="R6" s="65"/>
    </row>
    <row r="7" spans="1:18" x14ac:dyDescent="0.3">
      <c r="A7" s="67"/>
      <c r="D7" s="71" t="s">
        <v>3</v>
      </c>
      <c r="E7" s="71" t="s">
        <v>4</v>
      </c>
      <c r="F7" s="71" t="str">
        <f>IF(D4=M19,"September",IF(D4=M20,"October",IF(D4=M21,"November",IF(D4=M22,"December",IF(D4=M23,"January",IF(D4=M24,"February",IF(D4=M25,"March",IF(D4=M26,"April",IF(D4=M27,"May","?")))))))))</f>
        <v>October</v>
      </c>
      <c r="G7" s="71" t="str">
        <f>IF(D4=M19,"October",IF(D4=M20,"November",IF(D4=M21,"December",IF(D4=M22,"January",IF(D4=M23,"February",IF(D4=M24,"March",IF(D4=M25,"April",IF(D4=M26,"May",IF(D4=M27,"June","?")))))))))</f>
        <v>November</v>
      </c>
      <c r="H7" s="24"/>
      <c r="I7" s="24"/>
      <c r="J7" s="67"/>
      <c r="L7" s="5"/>
      <c r="M7" s="37" t="s">
        <v>9</v>
      </c>
      <c r="N7" s="2"/>
      <c r="O7" s="61"/>
      <c r="P7" s="62"/>
      <c r="Q7" s="62"/>
      <c r="R7" s="2"/>
    </row>
    <row r="8" spans="1:18" x14ac:dyDescent="0.3">
      <c r="A8" s="67"/>
      <c r="C8" s="70" t="s">
        <v>24</v>
      </c>
      <c r="D8" s="72" t="s">
        <v>5</v>
      </c>
      <c r="E8" s="73" t="s">
        <v>5</v>
      </c>
      <c r="F8" s="74">
        <v>1</v>
      </c>
      <c r="G8" s="75">
        <v>1</v>
      </c>
      <c r="H8" s="25"/>
      <c r="I8" s="25"/>
      <c r="J8" s="67"/>
      <c r="M8" s="15" t="str">
        <f>F7&amp;"  revenue drop"</f>
        <v>October  revenue drop</v>
      </c>
      <c r="N8" s="16">
        <f>(F8-F9)/F8</f>
        <v>0</v>
      </c>
      <c r="O8" s="54">
        <f>MAX(N8,N9,N14,N15)</f>
        <v>0</v>
      </c>
      <c r="P8" s="55">
        <f>MAX(N8,N9)</f>
        <v>0</v>
      </c>
      <c r="Q8" s="55">
        <f>MAX(N14,N15)</f>
        <v>0</v>
      </c>
      <c r="R8" s="2"/>
    </row>
    <row r="9" spans="1:18" x14ac:dyDescent="0.3">
      <c r="A9" s="67"/>
      <c r="C9" s="70" t="s">
        <v>23</v>
      </c>
      <c r="D9" s="76">
        <v>1</v>
      </c>
      <c r="E9" s="77">
        <v>1</v>
      </c>
      <c r="F9" s="77">
        <v>1</v>
      </c>
      <c r="G9" s="78">
        <v>1</v>
      </c>
      <c r="H9" s="25"/>
      <c r="I9" s="25"/>
      <c r="J9" s="68"/>
      <c r="K9" s="51"/>
      <c r="L9" s="6"/>
      <c r="M9" s="17" t="str">
        <f>G7&amp;" revenue drop"</f>
        <v>November revenue drop</v>
      </c>
      <c r="N9" s="16">
        <f>(G8-G9)/G8</f>
        <v>0</v>
      </c>
      <c r="O9" s="56">
        <f>IF(O8=N8,F8,IF(O8=N9,G8,AVERAGE(D9:E9)))</f>
        <v>1</v>
      </c>
      <c r="P9" s="57">
        <f>IF(P8=N8,F8,G8)</f>
        <v>1</v>
      </c>
      <c r="Q9" s="57">
        <f>AVERAGE(D9:E9)</f>
        <v>1</v>
      </c>
      <c r="R9" s="2" t="s">
        <v>55</v>
      </c>
    </row>
    <row r="10" spans="1:18" x14ac:dyDescent="0.3">
      <c r="A10" s="67"/>
      <c r="J10" s="68"/>
      <c r="K10" s="51"/>
      <c r="M10" s="18" t="s">
        <v>10</v>
      </c>
      <c r="N10" s="19" t="s">
        <v>5</v>
      </c>
      <c r="O10" s="58">
        <f>IF(O8=N8,F9,IF(O8=N9,G9,IF(O8=N14,G9,F9)))</f>
        <v>1</v>
      </c>
      <c r="P10" s="59">
        <f>IF(P8=N8,F9,G9)</f>
        <v>1</v>
      </c>
      <c r="Q10" s="59">
        <f>IF(Q8=N14,G9,F9)</f>
        <v>1</v>
      </c>
      <c r="R10" s="60" t="s">
        <v>56</v>
      </c>
    </row>
    <row r="11" spans="1:18" x14ac:dyDescent="0.3">
      <c r="A11" s="67"/>
      <c r="B11" s="3" t="s">
        <v>47</v>
      </c>
      <c r="D11" s="53" t="s">
        <v>50</v>
      </c>
      <c r="J11" s="67"/>
      <c r="N11" s="20"/>
    </row>
    <row r="12" spans="1:18" x14ac:dyDescent="0.3">
      <c r="A12" s="67"/>
      <c r="J12" s="67"/>
      <c r="N12" s="20"/>
    </row>
    <row r="13" spans="1:18" x14ac:dyDescent="0.3">
      <c r="A13" s="67"/>
      <c r="B13" s="3" t="s">
        <v>6</v>
      </c>
      <c r="J13" s="67"/>
      <c r="M13" s="14" t="s">
        <v>11</v>
      </c>
      <c r="N13" s="21"/>
    </row>
    <row r="14" spans="1:18" x14ac:dyDescent="0.3">
      <c r="A14" s="67"/>
      <c r="B14" s="3"/>
      <c r="J14" s="67"/>
      <c r="M14" s="22" t="str">
        <f>M9</f>
        <v>November revenue drop</v>
      </c>
      <c r="N14" s="16">
        <f>(AVERAGE(D9:E9)-G9)/AVERAGE(D9:E9)</f>
        <v>0</v>
      </c>
    </row>
    <row r="15" spans="1:18" x14ac:dyDescent="0.3">
      <c r="A15" s="67"/>
      <c r="C15" s="8" t="str">
        <f>"Period "&amp;IF(D4=M19,L19,IF(D4=M20,L20,IF(D4=M21,L21,IF(D4=M22,L22, IF(D4=M23,L23,IF(D4=M24,L24,IF(D4=M25,L25,IF(D4=M26,L26,L27))))))))&amp;" base subsidy"</f>
        <v>Period 2 base subsidy</v>
      </c>
      <c r="D15" s="9"/>
      <c r="E15" s="9"/>
      <c r="F15" s="9"/>
      <c r="G15" s="9"/>
      <c r="H15" s="10"/>
      <c r="J15" s="67"/>
      <c r="M15" s="1" t="str">
        <f>M8</f>
        <v>October  revenue drop</v>
      </c>
      <c r="N15" s="16">
        <f>(AVERAGE(D9:E9)-F9)/AVERAGE(D9:E9)</f>
        <v>0</v>
      </c>
    </row>
    <row r="16" spans="1:18" x14ac:dyDescent="0.3">
      <c r="A16" s="67"/>
      <c r="C16" s="26"/>
      <c r="D16" s="27"/>
      <c r="E16" s="28" t="str">
        <f>IF(E17=F9,F7&amp;" "&amp;C9,G7&amp;" "&amp;C9)</f>
        <v>October Current Year</v>
      </c>
      <c r="F16" s="28" t="str">
        <f>IF(F17=F8,F7&amp;" "&amp;C8,IF(F17=G8,G7&amp;" "&amp;C8,"Avg Jan + Feb"&amp;" "&amp;C9))</f>
        <v>October Prior year</v>
      </c>
      <c r="G16" s="28" t="s">
        <v>1</v>
      </c>
      <c r="H16" s="29"/>
      <c r="J16" s="67"/>
      <c r="M16" s="18" t="s">
        <v>10</v>
      </c>
      <c r="N16" s="23" t="s">
        <v>5</v>
      </c>
      <c r="R16" s="11"/>
    </row>
    <row r="17" spans="1:18" ht="15" thickBot="1" x14ac:dyDescent="0.35">
      <c r="A17" s="67"/>
      <c r="C17" s="26" t="s">
        <v>0</v>
      </c>
      <c r="D17" s="30"/>
      <c r="E17" s="79">
        <f>IF(D11=M29,O10,IF(D11=M30,Q10,IF(D11=M31,P10,"?")))</f>
        <v>1</v>
      </c>
      <c r="F17" s="79">
        <f>IF(D11=M29,IF(MAX(O8,P8,Q8)=O8,O9,IF(MAX(P8,Q8)=P8,P9,Q9)),IF(D11=M30,Q9,P9))</f>
        <v>1</v>
      </c>
      <c r="G17" s="80">
        <f>+(F17-E17)/F17</f>
        <v>0</v>
      </c>
      <c r="H17" s="29"/>
      <c r="J17" s="67"/>
    </row>
    <row r="18" spans="1:18" x14ac:dyDescent="0.3">
      <c r="A18" s="67"/>
      <c r="C18" s="26" t="s">
        <v>51</v>
      </c>
      <c r="D18" s="30"/>
      <c r="E18" s="30"/>
      <c r="F18" s="30"/>
      <c r="G18" s="31" t="str">
        <f>IF(G17&gt;0.6999,"Flat 65%",IF(G17&gt;0.49999,"40% + [drop - 50%] x 1.25","80%"))</f>
        <v>80%</v>
      </c>
      <c r="H18" s="29"/>
      <c r="J18" s="67"/>
      <c r="L18" s="89" t="s">
        <v>21</v>
      </c>
      <c r="M18" s="90"/>
      <c r="R18" s="11"/>
    </row>
    <row r="19" spans="1:18" x14ac:dyDescent="0.3">
      <c r="A19" s="67"/>
      <c r="C19" s="32" t="s">
        <v>2</v>
      </c>
      <c r="D19" s="33"/>
      <c r="E19" s="33"/>
      <c r="F19" s="33"/>
      <c r="G19" s="81">
        <f>IF(G17&gt;0.6999,0.65,IF(G17&gt;0.4999,1.25*(0.4+G17-0.5),G17*0.8))</f>
        <v>0</v>
      </c>
      <c r="H19" s="34"/>
      <c r="J19" s="67"/>
      <c r="L19" s="7">
        <v>1</v>
      </c>
      <c r="M19" s="7" t="s">
        <v>15</v>
      </c>
    </row>
    <row r="20" spans="1:18" x14ac:dyDescent="0.3">
      <c r="A20" s="67"/>
      <c r="J20" s="67"/>
      <c r="L20" s="7">
        <v>2</v>
      </c>
      <c r="M20" s="7" t="s">
        <v>16</v>
      </c>
    </row>
    <row r="21" spans="1:18" ht="17.399999999999999" customHeight="1" thickBot="1" x14ac:dyDescent="0.35">
      <c r="A21" s="67"/>
      <c r="B21" s="52" t="s">
        <v>46</v>
      </c>
      <c r="J21" s="67"/>
      <c r="L21" s="7">
        <v>3</v>
      </c>
      <c r="M21" s="7" t="s">
        <v>17</v>
      </c>
    </row>
    <row r="22" spans="1:18" ht="15" thickBot="1" x14ac:dyDescent="0.35">
      <c r="A22" s="67"/>
      <c r="C22" s="45" t="s">
        <v>45</v>
      </c>
      <c r="D22" s="46" t="s">
        <v>61</v>
      </c>
      <c r="E22" s="46" t="s">
        <v>12</v>
      </c>
      <c r="F22" s="46" t="s">
        <v>44</v>
      </c>
      <c r="G22" s="46" t="s">
        <v>14</v>
      </c>
      <c r="H22" s="47" t="s">
        <v>13</v>
      </c>
      <c r="J22" s="67"/>
      <c r="L22" s="7">
        <v>4</v>
      </c>
      <c r="M22" s="7" t="s">
        <v>18</v>
      </c>
    </row>
    <row r="23" spans="1:18" x14ac:dyDescent="0.3">
      <c r="A23" s="67"/>
      <c r="B23" t="str">
        <f>F7</f>
        <v>October</v>
      </c>
      <c r="C23" s="41">
        <v>0</v>
      </c>
      <c r="D23" s="42">
        <v>0</v>
      </c>
      <c r="E23" s="42">
        <v>0</v>
      </c>
      <c r="F23" s="43">
        <f>(C23+D23+E23)*IF(D4=M19,Periods!J3,IF(Rent!D4=Rent!M20,Periods!J4,IF(Rent!D4=Rent!M21,Periods!J5,IF(Rent!D4=Rent!M22,Periods!J6,IF(Rent!D4=Rent!M23,Periods!J7,IF(Rent!D4=Rent!M24,Periods!J8,IF(Rent!D4=Rent!M25,Periods!J9,IF(Rent!D4=Rent!M26,Periods!J10,IF(Rent!D4=Rent!M27,Periods!J11,"?")))))))))</f>
        <v>0</v>
      </c>
      <c r="G23" s="44">
        <f>+G19</f>
        <v>0</v>
      </c>
      <c r="H23" s="48">
        <f>+F23*G23</f>
        <v>0</v>
      </c>
      <c r="J23" s="67"/>
      <c r="L23" s="7">
        <v>5</v>
      </c>
      <c r="M23" s="7" t="s">
        <v>19</v>
      </c>
    </row>
    <row r="24" spans="1:18" ht="15" thickBot="1" x14ac:dyDescent="0.35">
      <c r="A24" s="67"/>
      <c r="B24" t="str">
        <f>G7</f>
        <v>November</v>
      </c>
      <c r="C24" s="40">
        <v>0</v>
      </c>
      <c r="D24" s="35">
        <v>0</v>
      </c>
      <c r="E24" s="35">
        <v>0</v>
      </c>
      <c r="F24" s="12">
        <f>(C24+D24+E24)*IF(D4=M19,Periods!M3,IF(Rent!D4=Rent!M20,Periods!M4,IF(Rent!D4=Rent!M21,Periods!M5,IF(Rent!D4=Rent!M22,Periods!M6,IF(Rent!D4=Rent!M23,Periods!M7,IF(Rent!D4=Rent!M24,Periods!M8,IF(Rent!D4=Rent!M25,Periods!M9,IF(Rent!D4=Rent!M26,Periods!M10,IF(Rent!D4=Rent!M27,Periods!M11,"?")))))))))</f>
        <v>0</v>
      </c>
      <c r="G24" s="13">
        <f>+G23</f>
        <v>0</v>
      </c>
      <c r="H24" s="49">
        <f>F24*G24</f>
        <v>0</v>
      </c>
      <c r="J24" s="67"/>
      <c r="L24" s="7">
        <v>6</v>
      </c>
      <c r="M24" s="7" t="s">
        <v>20</v>
      </c>
    </row>
    <row r="25" spans="1:18" ht="18.600000000000001" thickBot="1" x14ac:dyDescent="0.4">
      <c r="A25" s="67"/>
      <c r="H25" s="69">
        <f>SUM(H23:H24)</f>
        <v>0</v>
      </c>
      <c r="J25" s="67"/>
      <c r="L25" s="7">
        <v>7</v>
      </c>
      <c r="M25" s="7" t="s">
        <v>59</v>
      </c>
    </row>
    <row r="26" spans="1:18" x14ac:dyDescent="0.3">
      <c r="A26" s="67"/>
      <c r="J26" s="67"/>
      <c r="L26" s="7">
        <v>8</v>
      </c>
      <c r="M26" s="7" t="s">
        <v>57</v>
      </c>
    </row>
    <row r="27" spans="1:18" x14ac:dyDescent="0.3">
      <c r="A27" s="67"/>
      <c r="B27" s="82" t="s">
        <v>60</v>
      </c>
      <c r="C27" s="82"/>
      <c r="D27" s="82"/>
      <c r="E27" s="82"/>
      <c r="F27" s="82"/>
      <c r="G27" s="82"/>
      <c r="H27" s="50"/>
      <c r="I27" s="50"/>
      <c r="J27" s="67"/>
      <c r="L27" s="7">
        <v>9</v>
      </c>
      <c r="M27" s="7" t="s">
        <v>58</v>
      </c>
    </row>
    <row r="28" spans="1:18" ht="15" customHeight="1" x14ac:dyDescent="0.3">
      <c r="A28" s="67"/>
      <c r="B28" s="82"/>
      <c r="C28" s="82"/>
      <c r="D28" s="82"/>
      <c r="E28" s="82"/>
      <c r="F28" s="82"/>
      <c r="G28" s="82"/>
      <c r="J28" s="67"/>
    </row>
    <row r="29" spans="1:18" x14ac:dyDescent="0.3">
      <c r="A29" s="67"/>
      <c r="B29" s="82"/>
      <c r="C29" s="82"/>
      <c r="D29" s="82"/>
      <c r="E29" s="82"/>
      <c r="F29" s="82"/>
      <c r="G29" s="82"/>
      <c r="J29" s="67"/>
      <c r="M29" t="s">
        <v>50</v>
      </c>
    </row>
    <row r="30" spans="1:18" x14ac:dyDescent="0.3">
      <c r="A30" s="67"/>
      <c r="B30" s="82"/>
      <c r="C30" s="82"/>
      <c r="D30" s="82"/>
      <c r="E30" s="82"/>
      <c r="F30" s="82"/>
      <c r="G30" s="82"/>
      <c r="J30" s="67"/>
      <c r="M30" t="s">
        <v>48</v>
      </c>
    </row>
    <row r="31" spans="1:18" x14ac:dyDescent="0.3">
      <c r="A31" s="67"/>
      <c r="C31" s="66"/>
      <c r="D31" s="66"/>
      <c r="E31" s="66"/>
      <c r="F31" s="66"/>
      <c r="G31" s="66"/>
      <c r="J31" s="67"/>
      <c r="M31" t="s">
        <v>49</v>
      </c>
    </row>
    <row r="32" spans="1:18" x14ac:dyDescent="0.3">
      <c r="A32" s="67"/>
      <c r="D32" s="6"/>
      <c r="J32" s="67"/>
    </row>
    <row r="33" spans="1:10" x14ac:dyDescent="0.3">
      <c r="A33" s="67"/>
      <c r="B33" s="67"/>
      <c r="C33" s="67"/>
      <c r="D33" s="67"/>
      <c r="E33" s="67"/>
      <c r="F33" s="67"/>
      <c r="G33" s="67"/>
      <c r="H33" s="67"/>
      <c r="I33" s="67"/>
      <c r="J33" s="67"/>
    </row>
  </sheetData>
  <sheetProtection algorithmName="SHA-512" hashValue="Q5XnQBBYaTRYSochWy0F/dSwXCqDdPtVFIgbXL4NJ3rc2zgz+4jVO0XSYfU+r1fa/cZ35IFe8ybsxImrpHez2Q==" saltValue="D2Wn8axQDonDYDRuJUTm2A==" spinCount="100000" sheet="1" objects="1" selectLockedCells="1" sort="0"/>
  <mergeCells count="5">
    <mergeCell ref="B27:G30"/>
    <mergeCell ref="B2:I2"/>
    <mergeCell ref="M6:N6"/>
    <mergeCell ref="D4:F4"/>
    <mergeCell ref="L18:M18"/>
  </mergeCells>
  <phoneticPr fontId="5" type="noConversion"/>
  <dataValidations count="2">
    <dataValidation type="list" allowBlank="1" showInputMessage="1" showErrorMessage="1" sqref="D4:F4" xr:uid="{53A78CBF-A182-4806-8F4B-C0DCD421AFA8}">
      <formula1>$M$19:$M$27</formula1>
    </dataValidation>
    <dataValidation type="list" allowBlank="1" showInputMessage="1" showErrorMessage="1" sqref="D11" xr:uid="{7B704D49-1303-48A8-B97A-37D6D40F5B03}">
      <formula1>$M$29:$M$31</formula1>
    </dataValidation>
  </dataValidations>
  <printOptions horizontalCentered="1" verticalCentered="1"/>
  <pageMargins left="0.70866141732283472" right="0.70866141732283472" top="0.74803149606299213" bottom="0.74803149606299213" header="0.31496062992125984" footer="0.31496062992125984"/>
  <pageSetup scale="88" orientation="landscape" horizontalDpi="30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C6397-B27F-4F31-8576-DCA564FB94FF}">
  <dimension ref="B1:M11"/>
  <sheetViews>
    <sheetView workbookViewId="0">
      <selection activeCell="M4" sqref="M4"/>
    </sheetView>
  </sheetViews>
  <sheetFormatPr defaultRowHeight="14.4" x14ac:dyDescent="0.3"/>
  <cols>
    <col min="3" max="3" width="17.109375" bestFit="1" customWidth="1"/>
    <col min="4" max="5" width="10.109375" bestFit="1" customWidth="1"/>
    <col min="6" max="6" width="9.6640625" bestFit="1" customWidth="1"/>
    <col min="7" max="7" width="9.5546875" bestFit="1" customWidth="1"/>
    <col min="8" max="8" width="10.109375" bestFit="1" customWidth="1"/>
    <col min="9" max="10" width="10.109375" customWidth="1"/>
    <col min="12" max="12" width="9.44140625" bestFit="1" customWidth="1"/>
  </cols>
  <sheetData>
    <row r="1" spans="2:13" x14ac:dyDescent="0.3">
      <c r="F1" t="s">
        <v>40</v>
      </c>
      <c r="G1" t="s">
        <v>39</v>
      </c>
      <c r="H1" t="s">
        <v>41</v>
      </c>
      <c r="I1" t="s">
        <v>42</v>
      </c>
      <c r="J1" t="s">
        <v>43</v>
      </c>
      <c r="K1" t="s">
        <v>41</v>
      </c>
      <c r="L1" t="s">
        <v>42</v>
      </c>
      <c r="M1" t="s">
        <v>43</v>
      </c>
    </row>
    <row r="2" spans="2:13" x14ac:dyDescent="0.3">
      <c r="C2" t="s">
        <v>38</v>
      </c>
      <c r="D2" t="s">
        <v>37</v>
      </c>
      <c r="E2" t="s">
        <v>36</v>
      </c>
      <c r="F2" t="s">
        <v>35</v>
      </c>
      <c r="G2" t="s">
        <v>34</v>
      </c>
      <c r="H2" t="s">
        <v>35</v>
      </c>
      <c r="I2" t="s">
        <v>35</v>
      </c>
      <c r="J2" t="s">
        <v>35</v>
      </c>
      <c r="K2" t="s">
        <v>34</v>
      </c>
      <c r="L2" t="s">
        <v>34</v>
      </c>
      <c r="M2" t="s">
        <v>34</v>
      </c>
    </row>
    <row r="3" spans="2:13" x14ac:dyDescent="0.3">
      <c r="B3" t="s">
        <v>33</v>
      </c>
      <c r="C3" s="36">
        <v>44101</v>
      </c>
      <c r="D3" s="36">
        <v>44128</v>
      </c>
      <c r="E3">
        <f t="shared" ref="E3:E11" si="0">_xlfn.DAYS(D3,C3)+1</f>
        <v>28</v>
      </c>
      <c r="F3" s="38">
        <v>44104</v>
      </c>
      <c r="G3" s="38">
        <f t="shared" ref="G3:G11" si="1">F3+1</f>
        <v>44105</v>
      </c>
      <c r="H3">
        <f t="shared" ref="H3:H11" si="2">_xlfn.DAYS(F3,C3)+1</f>
        <v>4</v>
      </c>
      <c r="I3">
        <v>30</v>
      </c>
      <c r="J3" s="39">
        <f>+H3/I3</f>
        <v>0.13333333333333333</v>
      </c>
      <c r="K3">
        <f t="shared" ref="K3:K11" si="3">-_xlfn.DAYS(G3,D3)+1</f>
        <v>24</v>
      </c>
      <c r="L3">
        <v>31</v>
      </c>
      <c r="M3" s="39">
        <f>+K3/L3</f>
        <v>0.77419354838709675</v>
      </c>
    </row>
    <row r="4" spans="2:13" x14ac:dyDescent="0.3">
      <c r="B4" t="s">
        <v>32</v>
      </c>
      <c r="C4" s="36">
        <f t="shared" ref="C4:C11" si="4">+D3+1</f>
        <v>44129</v>
      </c>
      <c r="D4" s="36">
        <v>44156</v>
      </c>
      <c r="E4">
        <f t="shared" si="0"/>
        <v>28</v>
      </c>
      <c r="F4" s="38">
        <v>44135</v>
      </c>
      <c r="G4" s="38">
        <f t="shared" si="1"/>
        <v>44136</v>
      </c>
      <c r="H4">
        <f t="shared" si="2"/>
        <v>7</v>
      </c>
      <c r="I4">
        <v>31</v>
      </c>
      <c r="J4" s="39">
        <f t="shared" ref="J4:J11" si="5">+H4/I4</f>
        <v>0.22580645161290322</v>
      </c>
      <c r="K4">
        <f t="shared" si="3"/>
        <v>21</v>
      </c>
      <c r="L4">
        <v>30</v>
      </c>
      <c r="M4" s="39">
        <f t="shared" ref="M4:M11" si="6">+K4/L4</f>
        <v>0.7</v>
      </c>
    </row>
    <row r="5" spans="2:13" x14ac:dyDescent="0.3">
      <c r="B5" t="s">
        <v>31</v>
      </c>
      <c r="C5" s="36">
        <f t="shared" si="4"/>
        <v>44157</v>
      </c>
      <c r="D5" s="36">
        <v>44184</v>
      </c>
      <c r="E5">
        <f t="shared" si="0"/>
        <v>28</v>
      </c>
      <c r="F5" s="38">
        <v>44165</v>
      </c>
      <c r="G5" s="38">
        <f t="shared" si="1"/>
        <v>44166</v>
      </c>
      <c r="H5">
        <f t="shared" si="2"/>
        <v>9</v>
      </c>
      <c r="I5">
        <v>30</v>
      </c>
      <c r="J5" s="39">
        <f t="shared" si="5"/>
        <v>0.3</v>
      </c>
      <c r="K5">
        <f t="shared" si="3"/>
        <v>19</v>
      </c>
      <c r="L5">
        <v>31</v>
      </c>
      <c r="M5" s="39">
        <f t="shared" si="6"/>
        <v>0.61290322580645162</v>
      </c>
    </row>
    <row r="6" spans="2:13" x14ac:dyDescent="0.3">
      <c r="B6" t="s">
        <v>30</v>
      </c>
      <c r="C6" s="36">
        <f t="shared" si="4"/>
        <v>44185</v>
      </c>
      <c r="D6" s="36">
        <v>44212</v>
      </c>
      <c r="E6">
        <f t="shared" si="0"/>
        <v>28</v>
      </c>
      <c r="F6" s="38">
        <v>44196</v>
      </c>
      <c r="G6" s="38">
        <f t="shared" si="1"/>
        <v>44197</v>
      </c>
      <c r="H6">
        <f t="shared" si="2"/>
        <v>12</v>
      </c>
      <c r="I6">
        <v>31</v>
      </c>
      <c r="J6" s="39">
        <f t="shared" si="5"/>
        <v>0.38709677419354838</v>
      </c>
      <c r="K6">
        <f t="shared" si="3"/>
        <v>16</v>
      </c>
      <c r="L6">
        <v>31</v>
      </c>
      <c r="M6" s="39">
        <f t="shared" si="6"/>
        <v>0.5161290322580645</v>
      </c>
    </row>
    <row r="7" spans="2:13" x14ac:dyDescent="0.3">
      <c r="B7" t="s">
        <v>29</v>
      </c>
      <c r="C7" s="36">
        <f t="shared" si="4"/>
        <v>44213</v>
      </c>
      <c r="D7" s="36">
        <v>44240</v>
      </c>
      <c r="E7">
        <f t="shared" si="0"/>
        <v>28</v>
      </c>
      <c r="F7" s="38">
        <v>44227</v>
      </c>
      <c r="G7" s="38">
        <f t="shared" si="1"/>
        <v>44228</v>
      </c>
      <c r="H7">
        <f t="shared" si="2"/>
        <v>15</v>
      </c>
      <c r="I7">
        <v>31</v>
      </c>
      <c r="J7" s="39">
        <f t="shared" si="5"/>
        <v>0.4838709677419355</v>
      </c>
      <c r="K7">
        <f t="shared" si="3"/>
        <v>13</v>
      </c>
      <c r="L7">
        <v>28</v>
      </c>
      <c r="M7" s="39">
        <f t="shared" si="6"/>
        <v>0.4642857142857143</v>
      </c>
    </row>
    <row r="8" spans="2:13" x14ac:dyDescent="0.3">
      <c r="B8" t="s">
        <v>28</v>
      </c>
      <c r="C8" s="36">
        <f t="shared" si="4"/>
        <v>44241</v>
      </c>
      <c r="D8" s="36">
        <v>44268</v>
      </c>
      <c r="E8">
        <f t="shared" si="0"/>
        <v>28</v>
      </c>
      <c r="F8" s="38">
        <v>44255</v>
      </c>
      <c r="G8" s="38">
        <f t="shared" si="1"/>
        <v>44256</v>
      </c>
      <c r="H8">
        <f t="shared" si="2"/>
        <v>15</v>
      </c>
      <c r="I8">
        <v>28</v>
      </c>
      <c r="J8" s="39">
        <f t="shared" si="5"/>
        <v>0.5357142857142857</v>
      </c>
      <c r="K8">
        <f t="shared" si="3"/>
        <v>13</v>
      </c>
      <c r="L8">
        <v>31</v>
      </c>
      <c r="M8" s="39">
        <f t="shared" si="6"/>
        <v>0.41935483870967744</v>
      </c>
    </row>
    <row r="9" spans="2:13" x14ac:dyDescent="0.3">
      <c r="B9" t="s">
        <v>27</v>
      </c>
      <c r="C9" s="36">
        <f t="shared" si="4"/>
        <v>44269</v>
      </c>
      <c r="D9" s="36">
        <v>44296</v>
      </c>
      <c r="E9">
        <f t="shared" si="0"/>
        <v>28</v>
      </c>
      <c r="F9" s="38">
        <v>44286</v>
      </c>
      <c r="G9" s="38">
        <f t="shared" si="1"/>
        <v>44287</v>
      </c>
      <c r="H9">
        <f t="shared" si="2"/>
        <v>18</v>
      </c>
      <c r="I9">
        <v>31</v>
      </c>
      <c r="J9" s="39">
        <f t="shared" si="5"/>
        <v>0.58064516129032262</v>
      </c>
      <c r="K9">
        <f t="shared" si="3"/>
        <v>10</v>
      </c>
      <c r="L9">
        <v>30</v>
      </c>
      <c r="M9" s="39">
        <f t="shared" si="6"/>
        <v>0.33333333333333331</v>
      </c>
    </row>
    <row r="10" spans="2:13" x14ac:dyDescent="0.3">
      <c r="B10" t="s">
        <v>26</v>
      </c>
      <c r="C10" s="36">
        <f t="shared" si="4"/>
        <v>44297</v>
      </c>
      <c r="D10" s="36">
        <v>44324</v>
      </c>
      <c r="E10">
        <f t="shared" si="0"/>
        <v>28</v>
      </c>
      <c r="F10" s="38">
        <v>44316</v>
      </c>
      <c r="G10" s="38">
        <f t="shared" si="1"/>
        <v>44317</v>
      </c>
      <c r="H10">
        <f t="shared" si="2"/>
        <v>20</v>
      </c>
      <c r="I10">
        <v>30</v>
      </c>
      <c r="J10" s="39">
        <f t="shared" si="5"/>
        <v>0.66666666666666663</v>
      </c>
      <c r="K10">
        <f t="shared" si="3"/>
        <v>8</v>
      </c>
      <c r="L10">
        <v>31</v>
      </c>
      <c r="M10" s="39">
        <f t="shared" si="6"/>
        <v>0.25806451612903225</v>
      </c>
    </row>
    <row r="11" spans="2:13" x14ac:dyDescent="0.3">
      <c r="B11" t="s">
        <v>25</v>
      </c>
      <c r="C11" s="36">
        <f t="shared" si="4"/>
        <v>44325</v>
      </c>
      <c r="D11" s="36">
        <v>44352</v>
      </c>
      <c r="E11">
        <f t="shared" si="0"/>
        <v>28</v>
      </c>
      <c r="F11" s="38">
        <v>44347</v>
      </c>
      <c r="G11" s="38">
        <f t="shared" si="1"/>
        <v>44348</v>
      </c>
      <c r="H11">
        <f t="shared" si="2"/>
        <v>23</v>
      </c>
      <c r="I11">
        <v>31</v>
      </c>
      <c r="J11" s="39">
        <f t="shared" si="5"/>
        <v>0.74193548387096775</v>
      </c>
      <c r="K11">
        <f t="shared" si="3"/>
        <v>5</v>
      </c>
      <c r="L11">
        <v>30</v>
      </c>
      <c r="M11" s="39">
        <f t="shared" si="6"/>
        <v>0.16666666666666666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Rent</vt:lpstr>
      <vt:lpstr>Periods</vt:lpstr>
      <vt:lpstr>Rent!Print_Area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Darren Maclachlan</dc:creator>
  <cp:lastModifiedBy>User</cp:lastModifiedBy>
  <cp:lastPrinted>2020-12-04T19:25:46Z</cp:lastPrinted>
  <dcterms:created xsi:type="dcterms:W3CDTF">2020-07-17T20:58:44Z</dcterms:created>
  <dcterms:modified xsi:type="dcterms:W3CDTF">2020-12-04T23:45:32Z</dcterms:modified>
</cp:coreProperties>
</file>